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ropbox\___Downloads\"/>
    </mc:Choice>
  </mc:AlternateContent>
  <xr:revisionPtr revIDLastSave="0" documentId="13_ncr:1_{519581A2-C47F-468F-9214-884D6A491C15}" xr6:coauthVersionLast="47" xr6:coauthVersionMax="47" xr10:uidLastSave="{00000000-0000-0000-0000-000000000000}"/>
  <bookViews>
    <workbookView xWindow="-110" yWindow="-110" windowWidth="19420" windowHeight="10560" tabRatio="500" activeTab="1" xr2:uid="{00000000-000D-0000-FFFF-FFFF00000000}"/>
  </bookViews>
  <sheets>
    <sheet name="Supuestos" sheetId="1" r:id="rId1"/>
    <sheet name="Comparativo" sheetId="2" r:id="rId2"/>
    <sheet name="Tango (ARS)" sheetId="3" r:id="rId3"/>
    <sheet name="Sin precio público" sheetId="4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1" i="3" l="1"/>
  <c r="B9" i="3"/>
  <c r="B8" i="3"/>
  <c r="D6" i="3"/>
  <c r="D5" i="3"/>
  <c r="U14" i="2"/>
  <c r="S14" i="2"/>
  <c r="U13" i="2"/>
  <c r="S13" i="2"/>
  <c r="P13" i="2"/>
  <c r="R13" i="2" s="1"/>
  <c r="N13" i="2"/>
  <c r="M13" i="2"/>
  <c r="O13" i="2" s="1"/>
  <c r="Q13" i="2" s="1"/>
  <c r="U12" i="2"/>
  <c r="S12" i="2"/>
  <c r="N12" i="2"/>
  <c r="P12" i="2" s="1"/>
  <c r="R12" i="2" s="1"/>
  <c r="M12" i="2"/>
  <c r="O12" i="2" s="1"/>
  <c r="Q12" i="2" s="1"/>
  <c r="U11" i="2"/>
  <c r="S11" i="2"/>
  <c r="P11" i="2"/>
  <c r="R11" i="2" s="1"/>
  <c r="N11" i="2"/>
  <c r="M11" i="2"/>
  <c r="O11" i="2" s="1"/>
  <c r="Q11" i="2" s="1"/>
  <c r="U10" i="2"/>
  <c r="S10" i="2"/>
  <c r="N10" i="2"/>
  <c r="P10" i="2" s="1"/>
  <c r="R10" i="2" s="1"/>
  <c r="M10" i="2"/>
  <c r="O10" i="2" s="1"/>
  <c r="Q10" i="2" s="1"/>
  <c r="U9" i="2"/>
  <c r="S9" i="2"/>
  <c r="N9" i="2"/>
  <c r="P9" i="2" s="1"/>
  <c r="R9" i="2" s="1"/>
  <c r="M9" i="2"/>
  <c r="O9" i="2" s="1"/>
  <c r="Q9" i="2" s="1"/>
  <c r="U8" i="2"/>
  <c r="S8" i="2"/>
  <c r="P8" i="2"/>
  <c r="R8" i="2" s="1"/>
  <c r="N8" i="2"/>
  <c r="M8" i="2"/>
  <c r="O8" i="2" s="1"/>
  <c r="Q8" i="2" s="1"/>
  <c r="U7" i="2"/>
  <c r="S7" i="2"/>
  <c r="N7" i="2"/>
  <c r="P7" i="2" s="1"/>
  <c r="R7" i="2" s="1"/>
  <c r="M7" i="2"/>
  <c r="O7" i="2" s="1"/>
  <c r="Q7" i="2" s="1"/>
  <c r="U6" i="2"/>
  <c r="S6" i="2"/>
  <c r="P6" i="2"/>
  <c r="R6" i="2" s="1"/>
  <c r="N6" i="2"/>
  <c r="M6" i="2"/>
  <c r="O6" i="2" s="1"/>
  <c r="Q6" i="2" s="1"/>
  <c r="U5" i="2"/>
  <c r="S5" i="2"/>
  <c r="N5" i="2"/>
  <c r="P5" i="2" s="1"/>
  <c r="R5" i="2" s="1"/>
  <c r="M5" i="2"/>
  <c r="O5" i="2" s="1"/>
  <c r="Q5" i="2" s="1"/>
  <c r="A2" i="2"/>
  <c r="B10" i="3" l="1"/>
  <c r="B15" i="3" s="1"/>
  <c r="B14" i="3" l="1"/>
  <c r="D14" i="3" s="1"/>
  <c r="E14" i="3" s="1"/>
  <c r="D14" i="2" s="1"/>
  <c r="M14" i="2" s="1"/>
  <c r="O14" i="2" s="1"/>
  <c r="Q14" i="2" s="1"/>
  <c r="C14" i="3"/>
  <c r="D15" i="3"/>
  <c r="E15" i="3" s="1"/>
  <c r="E14" i="2" s="1"/>
  <c r="N14" i="2" s="1"/>
  <c r="P14" i="2" s="1"/>
  <c r="R14" i="2" s="1"/>
  <c r="C15" i="3"/>
</calcChain>
</file>

<file path=xl/sharedStrings.xml><?xml version="1.0" encoding="utf-8"?>
<sst xmlns="http://schemas.openxmlformats.org/spreadsheetml/2006/main" count="128" uniqueCount="117">
  <si>
    <t>Comparativo de costos de ERP - Escenario de 140 usuarios</t>
  </si>
  <si>
    <t>Cantidad de usuarios</t>
  </si>
  <si>
    <t>Dato del pedido del usuario.</t>
  </si>
  <si>
    <t>Horizonte de análisis (años)</t>
  </si>
  <si>
    <t>Supuesto: 3 años. Se puede cambiar.</t>
  </si>
  <si>
    <t>Tipo de cambio ARS/USD</t>
  </si>
  <si>
    <t>Ratio de puestos concurrentes (Tango)</t>
  </si>
  <si>
    <t>SUPUESTO ilustrativo: Tango licencia por puestos concurrentes, no por usuario. 40% = 56 puestos para 140 usuarios. Ajustar.</t>
  </si>
  <si>
    <t>IVA</t>
  </si>
  <si>
    <t>Los precios de Tango Nube se publican + IVA.</t>
  </si>
  <si>
    <t>Leyenda</t>
  </si>
  <si>
    <t>Amarillo = supuesto clave a revisar</t>
  </si>
  <si>
    <t>Advertencias</t>
  </si>
  <si>
    <t>• Los rangos Mín/Máx reflejan la dispersión entre fuentes y no un descuento negociado.</t>
  </si>
  <si>
    <t>• Implementación: rangos muy amplios, no escalados por cantidad de usuarios. Para 140 usuarios lo razonable es la parte alta.</t>
  </si>
  <si>
    <t>• Business Central y Tango no tienen dato de implementación: quedan excluidos del TCO (ver columna 'Impl. con dato').</t>
  </si>
  <si>
    <t>• No incluye hosting adicional, módulos extra, integraciones, capacitación ni soporte de partner.</t>
  </si>
  <si>
    <t>Costo total estimado (licencias + implementación) - USD</t>
  </si>
  <si>
    <t>Sistema</t>
  </si>
  <si>
    <t>Plan / variante</t>
  </si>
  <si>
    <t>Modelo</t>
  </si>
  <si>
    <t>USD usuario/mes MÍN</t>
  </si>
  <si>
    <t>USD usuario/mes MÁX</t>
  </si>
  <si>
    <t>Cargo base USD/mes MÍN</t>
  </si>
  <si>
    <t>Cargo base USD/mes MÁX</t>
  </si>
  <si>
    <t>Licencia perpetua USD/usuario MÍN</t>
  </si>
  <si>
    <t>Licencia perpetua USD/usuario MÁX</t>
  </si>
  <si>
    <t>Mantenim. anual % (perpetua)</t>
  </si>
  <si>
    <t>Implementación USD MÍN</t>
  </si>
  <si>
    <t>Implementación USD MÁX</t>
  </si>
  <si>
    <t>Licencias en horizonte MÍN</t>
  </si>
  <si>
    <t>Licencias en horizonte MÁX</t>
  </si>
  <si>
    <t>TCO MÍN</t>
  </si>
  <si>
    <t>TCO MÁX</t>
  </si>
  <si>
    <t>USD/usuario/año MÍN</t>
  </si>
  <si>
    <t>USD/usuario/año MÁX</t>
  </si>
  <si>
    <t>Impl. con dato</t>
  </si>
  <si>
    <t>Notas</t>
  </si>
  <si>
    <t>Etiqueta gráfico</t>
  </si>
  <si>
    <t>Odoo</t>
  </si>
  <si>
    <t>Standard (Online)</t>
  </si>
  <si>
    <t>Suscripción por usuario</t>
  </si>
  <si>
    <t>Promoción año 1 USD 24,90; renovación ~USD 31,10. Hosting Odoo.sh e IA aparte. Edición Community gratis (requiere equipo técnico).</t>
  </si>
  <si>
    <t>Custom</t>
  </si>
  <si>
    <t>Incluye Studio, multiempresa y API. En sep-2026 subió entre 5% y 25% según región (no reflejado). Precio regional para Argentina no hallado.</t>
  </si>
  <si>
    <t>Microsoft Dynamics 365</t>
  </si>
  <si>
    <t>Business Central Essentials</t>
  </si>
  <si>
    <t>Suscripción por usuario nombrado</t>
  </si>
  <si>
    <t>Precio de lista de Microsoft (subió de USD 70 en nov-2025). Sin dato de implementación: depende del partner. ISV de terceros suman USD 10-100/usuario/mes.</t>
  </si>
  <si>
    <t>Business Central Premium</t>
  </si>
  <si>
    <t>Agrega manufactura y servicios. Sin dato de implementación.</t>
  </si>
  <si>
    <t>Oracle</t>
  </si>
  <si>
    <t>NetSuite</t>
  </si>
  <si>
    <t>Cargo base + usuario + módulos</t>
  </si>
  <si>
    <t>Oracle no publica precios; estimaciones de terceros. Una guía indica que el usuario completo subió a USD 129. Módulos aparte.</t>
  </si>
  <si>
    <t>Epicor</t>
  </si>
  <si>
    <t>Kinetic (nube)</t>
  </si>
  <si>
    <t>Cargo base + usuario</t>
  </si>
  <si>
    <t>Orientado a manufactura. Soporte ~20% de la licencia.</t>
  </si>
  <si>
    <t>Kinetic (perpetua)</t>
  </si>
  <si>
    <t>Licencia perpetua + mantenimiento</t>
  </si>
  <si>
    <t>Mantenimiento 18-22% según fuente; se usa 20%.</t>
  </si>
  <si>
    <t>SAP</t>
  </si>
  <si>
    <t>Business One Profesional (nube)</t>
  </si>
  <si>
    <t>Solo vía partners; sin lista oficial. Implementación 'rara vez baja de USD 30.000-50.000'.</t>
  </si>
  <si>
    <t>Business One Profesional (perpetua)</t>
  </si>
  <si>
    <t>Otras fuentes dan USD 3.500-10.000 por licencia. Mantenimiento 18% anual.</t>
  </si>
  <si>
    <t>Tango (Axoft)</t>
  </si>
  <si>
    <t>Tango Nube (ref. ARS)</t>
  </si>
  <si>
    <t>Suscripción por puestos concurrentes</t>
  </si>
  <si>
    <t>Extrapolación ilustrativa: ver hoja 'Tango (ARS)'. Sin dato de implementación.</t>
  </si>
  <si>
    <t>Fórmulas: suscripción = (usuarios x USD/usuario/mes + cargo base) x 12 x años. Perpetua = usuarios x licencia x (1 + mantenimiento% x años). TCO = licencias + implementación.</t>
  </si>
  <si>
    <t>Las filas con 'No (excluida)' no incluyen implementación por falta de dato: su TCO está subestimado y no es comparable de forma directa.</t>
  </si>
  <si>
    <t>Tango Nube - extrapolación ilustrativa a 140 usuarios</t>
  </si>
  <si>
    <t>Tango licencia por módulos y puestos concurrentes. Lista pública solo para 2 y 5 puestos; para más hay que pedir cotización a un distribuidor.</t>
  </si>
  <si>
    <t>Plan</t>
  </si>
  <si>
    <t>Precio lista ARS/mes + IVA</t>
  </si>
  <si>
    <t>Puestos incluidos</t>
  </si>
  <si>
    <t>ARS/puesto/mes</t>
  </si>
  <si>
    <t>Licencia Básica</t>
  </si>
  <si>
    <t>Licencia Pro</t>
  </si>
  <si>
    <t>Usuarios</t>
  </si>
  <si>
    <t>Ratio de puestos concurrentes</t>
  </si>
  <si>
    <t>Puestos estimados</t>
  </si>
  <si>
    <t>Escenario (tarifa por puesto)</t>
  </si>
  <si>
    <t>ARS/mes neto</t>
  </si>
  <si>
    <t>ARS/mes con IVA</t>
  </si>
  <si>
    <t>USD/mes neto</t>
  </si>
  <si>
    <t>USD/usuario/mes</t>
  </si>
  <si>
    <t>Mínimo: tarifa por puesto de Licencia Pro</t>
  </si>
  <si>
    <t>Máximo: tarifa por puesto de Licencia Básica</t>
  </si>
  <si>
    <t>• Permanencia mínima de 6 meses según la fuente. Tango de escritorio (licencia perpetua o alquiler on-premise) no publica precio.</t>
  </si>
  <si>
    <t>• Se asume precio lineal por puesto; una cotización real para decenas de puestos probablemente tenga otra escala y descuentos.</t>
  </si>
  <si>
    <t>Sistemas consultados sin precio público hallado</t>
  </si>
  <si>
    <t>Modalidad de licenciamiento informada</t>
  </si>
  <si>
    <t>Lo que se encontró</t>
  </si>
  <si>
    <t>Cómo obtener precio</t>
  </si>
  <si>
    <t>Softland ERP</t>
  </si>
  <si>
    <t>Licencia perpetua on-premise o suscripción en la nube; abono de mantenimiento con actualizaciones.</t>
  </si>
  <si>
    <t>Sin lista de precios. Único dato: un caso de 2002 (63 usuarios, USD 33.300), desactualizado.</t>
  </si>
  <si>
    <t>Cotización por distribuidor / Softland Argentina.</t>
  </si>
  <si>
    <t>Calipso (Visma)</t>
  </si>
  <si>
    <t>SaaS (nube).</t>
  </si>
  <si>
    <t>Sin precios públicos. ~1.000 clientes; adquirida por Visma.</t>
  </si>
  <si>
    <t>Cotización comercial.</t>
  </si>
  <si>
    <t>Bejerman ERP (Thomson Reuters)</t>
  </si>
  <si>
    <t>SaaS con pago mensual por plan.</t>
  </si>
  <si>
    <t>Un formulario antiguo mencionaba 'desde $1.499/mes' para Infouno (otro producto); no sirve de referencia.</t>
  </si>
  <si>
    <t>Cotización con Thomson Reuters.</t>
  </si>
  <si>
    <t>Onvio (Thomson Reuters)</t>
  </si>
  <si>
    <t>Plataforma contable en la nube para estudios contables.</t>
  </si>
  <si>
    <t>No es un ERP de gestión; sin precio público.</t>
  </si>
  <si>
    <t>Tango de escritorio</t>
  </si>
  <si>
    <t>Venta de licencia perpetua o alquiler mensual on-premise, por módulos y puestos.</t>
  </si>
  <si>
    <t>No publica precio.</t>
  </si>
  <si>
    <t>Consultar a un distribuidor oficial de Axoft.</t>
  </si>
  <si>
    <t>• Los precios son de lista en USD  o estimaciones de terceros; no son cotizaciones para Argentina.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</si>
</sst>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;&quot;($&quot;#,##0.00\);\-"/>
    <numFmt numFmtId="165" formatCode="\$#,##0;&quot;($&quot;#,##0\);\-"/>
  </numFmts>
  <fonts count="8" x14ac:knownFonts="1">
    <font>
      <sz val="11"/>
      <color theme="1"/>
      <name val="Calibri"/>
      <family val="2"/>
      <charset val="1"/>
    </font>
    <font>
      <b/>
      <sz val="14"/>
      <name val="Arial"/>
      <charset val="1"/>
    </font>
    <font>
      <i/>
      <sz val="9"/>
      <color rgb="FF555555"/>
      <name val="Arial"/>
      <charset val="1"/>
    </font>
    <font>
      <b/>
      <sz val="10"/>
      <name val="Arial"/>
      <charset val="1"/>
    </font>
    <font>
      <sz val="10"/>
      <color rgb="FF0000FF"/>
      <name val="Arial"/>
      <charset val="1"/>
    </font>
    <font>
      <sz val="10"/>
      <name val="Arial"/>
      <charset val="1"/>
    </font>
    <font>
      <sz val="10"/>
      <color rgb="FF008000"/>
      <name val="Arial"/>
      <charset val="1"/>
    </font>
    <font>
      <b/>
      <sz val="10"/>
      <color rgb="FFFFFFFF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1F3864"/>
        <bgColor rgb="FF333399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" fontId="4" fillId="2" borderId="1" xfId="0" applyNumberFormat="1" applyFont="1" applyFill="1" applyBorder="1"/>
    <xf numFmtId="3" fontId="4" fillId="2" borderId="1" xfId="0" applyNumberFormat="1" applyFont="1" applyFill="1" applyBorder="1"/>
    <xf numFmtId="9" fontId="4" fillId="2" borderId="1" xfId="0" applyNumberFormat="1" applyFont="1" applyFill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2" borderId="0" xfId="0" applyFont="1" applyFill="1"/>
    <xf numFmtId="0" fontId="7" fillId="3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5" fillId="0" borderId="1" xfId="0" applyFont="1" applyBorder="1"/>
    <xf numFmtId="164" fontId="4" fillId="0" borderId="1" xfId="0" applyNumberFormat="1" applyFont="1" applyBorder="1"/>
    <xf numFmtId="165" fontId="4" fillId="0" borderId="1" xfId="0" applyNumberFormat="1" applyFont="1" applyBorder="1"/>
    <xf numFmtId="9" fontId="4" fillId="0" borderId="1" xfId="0" applyNumberFormat="1" applyFont="1" applyBorder="1"/>
    <xf numFmtId="165" fontId="5" fillId="0" borderId="1" xfId="0" applyNumberFormat="1" applyFont="1" applyBorder="1"/>
    <xf numFmtId="0" fontId="2" fillId="0" borderId="1" xfId="0" applyFont="1" applyBorder="1" applyAlignment="1">
      <alignment vertical="top" wrapText="1"/>
    </xf>
    <xf numFmtId="164" fontId="6" fillId="0" borderId="1" xfId="0" applyNumberFormat="1" applyFont="1" applyBorder="1"/>
    <xf numFmtId="0" fontId="7" fillId="3" borderId="1" xfId="0" applyFont="1" applyFill="1" applyBorder="1" applyAlignment="1">
      <alignment horizontal="center" wrapText="1"/>
    </xf>
    <xf numFmtId="0" fontId="4" fillId="0" borderId="1" xfId="0" applyFont="1" applyBorder="1"/>
    <xf numFmtId="1" fontId="6" fillId="0" borderId="0" xfId="0" applyNumberFormat="1" applyFont="1"/>
    <xf numFmtId="9" fontId="6" fillId="0" borderId="0" xfId="0" applyNumberFormat="1" applyFont="1"/>
    <xf numFmtId="3" fontId="6" fillId="0" borderId="0" xfId="0" applyNumberFormat="1" applyFont="1"/>
    <xf numFmtId="165" fontId="6" fillId="0" borderId="1" xfId="0" applyNumberFormat="1" applyFont="1" applyBorder="1"/>
    <xf numFmtId="164" fontId="5" fillId="0" borderId="1" xfId="0" applyNumberFormat="1" applyFont="1" applyBorder="1"/>
    <xf numFmtId="0" fontId="7" fillId="3" borderId="1" xfId="0" applyFont="1" applyFill="1" applyBorder="1" applyAlignment="1">
      <alignment wrapText="1"/>
    </xf>
    <xf numFmtId="0" fontId="5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78787"/>
      <rgbColor rgb="FF9999FF"/>
      <rgbColor rgb="FFC0504D"/>
      <rgbColor rgb="FFF9F9F9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555555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s-AR" sz="1800" b="1" strike="noStrike" spc="-1">
                <a:solidFill>
                  <a:srgbClr val="000000"/>
                </a:solidFill>
                <a:latin typeface="Calibri"/>
              </a:rPr>
              <a:t>TCO estimado (USD) - mínimo y máximo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Comparativo!$O$4</c:f>
              <c:strCache>
                <c:ptCount val="1"/>
                <c:pt idx="0">
                  <c:v>TCO MÍN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s-A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Comparativo!$U$5:$U$14</c:f>
              <c:strCache>
                <c:ptCount val="10"/>
                <c:pt idx="0">
                  <c:v>Odoo - Standard (Online)</c:v>
                </c:pt>
                <c:pt idx="1">
                  <c:v>Odoo - Custom</c:v>
                </c:pt>
                <c:pt idx="2">
                  <c:v>Microsoft Dynamics 365 - Business Central Essentials</c:v>
                </c:pt>
                <c:pt idx="3">
                  <c:v>Microsoft Dynamics 365 - Business Central Premium</c:v>
                </c:pt>
                <c:pt idx="4">
                  <c:v>Oracle - NetSuite</c:v>
                </c:pt>
                <c:pt idx="5">
                  <c:v>Epicor - Kinetic (nube)</c:v>
                </c:pt>
                <c:pt idx="6">
                  <c:v>Epicor - Kinetic (perpetua)</c:v>
                </c:pt>
                <c:pt idx="7">
                  <c:v>SAP - Business One Profesional (nube)</c:v>
                </c:pt>
                <c:pt idx="8">
                  <c:v>SAP - Business One Profesional (perpetua)</c:v>
                </c:pt>
                <c:pt idx="9">
                  <c:v>Tango (Axoft) - Tango Nube (ref. ARS)</c:v>
                </c:pt>
              </c:strCache>
            </c:strRef>
          </c:cat>
          <c:val>
            <c:numRef>
              <c:f>Comparativo!$O$5:$O$14</c:f>
              <c:numCache>
                <c:formatCode>\$#,##0;"($"#,##0\);\-</c:formatCode>
                <c:ptCount val="10"/>
                <c:pt idx="0">
                  <c:v>214160</c:v>
                </c:pt>
                <c:pt idx="1">
                  <c:v>416600</c:v>
                </c:pt>
                <c:pt idx="2">
                  <c:v>672000</c:v>
                </c:pt>
                <c:pt idx="3">
                  <c:v>924000</c:v>
                </c:pt>
                <c:pt idx="4">
                  <c:v>916540</c:v>
                </c:pt>
                <c:pt idx="5">
                  <c:v>980000</c:v>
                </c:pt>
                <c:pt idx="6">
                  <c:v>610000</c:v>
                </c:pt>
                <c:pt idx="7">
                  <c:v>937200</c:v>
                </c:pt>
                <c:pt idx="8">
                  <c:v>881200</c:v>
                </c:pt>
                <c:pt idx="9">
                  <c:v>510720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0E-4F76-A8E1-51E14ABFFFC4}"/>
            </c:ext>
          </c:extLst>
        </c:ser>
        <c:ser>
          <c:idx val="1"/>
          <c:order val="1"/>
          <c:tx>
            <c:strRef>
              <c:f>Comparativo!$P$4</c:f>
              <c:strCache>
                <c:ptCount val="1"/>
                <c:pt idx="0">
                  <c:v>TCO MÁX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s-A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Comparativo!$U$5:$U$14</c:f>
              <c:strCache>
                <c:ptCount val="10"/>
                <c:pt idx="0">
                  <c:v>Odoo - Standard (Online)</c:v>
                </c:pt>
                <c:pt idx="1">
                  <c:v>Odoo - Custom</c:v>
                </c:pt>
                <c:pt idx="2">
                  <c:v>Microsoft Dynamics 365 - Business Central Essentials</c:v>
                </c:pt>
                <c:pt idx="3">
                  <c:v>Microsoft Dynamics 365 - Business Central Premium</c:v>
                </c:pt>
                <c:pt idx="4">
                  <c:v>Oracle - NetSuite</c:v>
                </c:pt>
                <c:pt idx="5">
                  <c:v>Epicor - Kinetic (nube)</c:v>
                </c:pt>
                <c:pt idx="6">
                  <c:v>Epicor - Kinetic (perpetua)</c:v>
                </c:pt>
                <c:pt idx="7">
                  <c:v>SAP - Business One Profesional (nube)</c:v>
                </c:pt>
                <c:pt idx="8">
                  <c:v>SAP - Business One Profesional (perpetua)</c:v>
                </c:pt>
                <c:pt idx="9">
                  <c:v>Tango (Axoft) - Tango Nube (ref. ARS)</c:v>
                </c:pt>
              </c:strCache>
            </c:strRef>
          </c:cat>
          <c:val>
            <c:numRef>
              <c:f>Comparativo!$P$5:$P$14</c:f>
              <c:numCache>
                <c:formatCode>\$#,##0;"($"#,##0\);\-</c:formatCode>
                <c:ptCount val="10"/>
                <c:pt idx="0">
                  <c:v>461240</c:v>
                </c:pt>
                <c:pt idx="1">
                  <c:v>712400</c:v>
                </c:pt>
                <c:pt idx="2">
                  <c:v>672000</c:v>
                </c:pt>
                <c:pt idx="3">
                  <c:v>924000</c:v>
                </c:pt>
                <c:pt idx="4">
                  <c:v>2571600</c:v>
                </c:pt>
                <c:pt idx="5">
                  <c:v>2830000</c:v>
                </c:pt>
                <c:pt idx="6">
                  <c:v>1840000</c:v>
                </c:pt>
                <c:pt idx="7">
                  <c:v>1754000</c:v>
                </c:pt>
                <c:pt idx="8">
                  <c:v>1157600</c:v>
                </c:pt>
                <c:pt idx="9">
                  <c:v>1023400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0E-4F76-A8E1-51E14ABFFF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555092"/>
        <c:axId val="99616555"/>
      </c:barChart>
      <c:catAx>
        <c:axId val="515550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s-AR"/>
          </a:p>
        </c:txPr>
        <c:crossAx val="99616555"/>
        <c:crosses val="autoZero"/>
        <c:auto val="1"/>
        <c:lblAlgn val="ctr"/>
        <c:lblOffset val="100"/>
        <c:noMultiLvlLbl val="0"/>
      </c:catAx>
      <c:valAx>
        <c:axId val="99616555"/>
        <c:scaling>
          <c:orientation val="minMax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;&quot;($&quot;#,##0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s-AR"/>
          </a:p>
        </c:txPr>
        <c:crossAx val="51555092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es-AR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160920</xdr:rowOff>
    </xdr:from>
    <xdr:to>
      <xdr:col>7</xdr:col>
      <xdr:colOff>337680</xdr:colOff>
      <xdr:row>39</xdr:row>
      <xdr:rowOff>119880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showGridLines="0" zoomScaleNormal="100" workbookViewId="0">
      <selection activeCell="B8" sqref="B8"/>
    </sheetView>
  </sheetViews>
  <sheetFormatPr baseColWidth="10" defaultColWidth="8.6328125" defaultRowHeight="14.5" x14ac:dyDescent="0.35"/>
  <cols>
    <col min="1" max="1" width="42" customWidth="1"/>
    <col min="2" max="2" width="14" customWidth="1"/>
    <col min="3" max="3" width="110" customWidth="1"/>
  </cols>
  <sheetData>
    <row r="1" spans="1:3" ht="18" x14ac:dyDescent="0.4">
      <c r="A1" s="1" t="s">
        <v>0</v>
      </c>
    </row>
    <row r="2" spans="1:3" x14ac:dyDescent="0.35">
      <c r="A2" s="2"/>
    </row>
    <row r="4" spans="1:3" x14ac:dyDescent="0.35">
      <c r="A4" s="3" t="s">
        <v>1</v>
      </c>
      <c r="B4" s="4">
        <v>140</v>
      </c>
      <c r="C4" s="2" t="s">
        <v>2</v>
      </c>
    </row>
    <row r="5" spans="1:3" x14ac:dyDescent="0.35">
      <c r="A5" s="3" t="s">
        <v>3</v>
      </c>
      <c r="B5" s="4">
        <v>5</v>
      </c>
      <c r="C5" s="2" t="s">
        <v>4</v>
      </c>
    </row>
    <row r="6" spans="1:3" x14ac:dyDescent="0.35">
      <c r="A6" s="3" t="s">
        <v>5</v>
      </c>
      <c r="B6" s="5">
        <v>1500</v>
      </c>
      <c r="C6" s="2"/>
    </row>
    <row r="7" spans="1:3" x14ac:dyDescent="0.35">
      <c r="A7" s="3" t="s">
        <v>6</v>
      </c>
      <c r="B7" s="6">
        <v>0.5</v>
      </c>
      <c r="C7" s="2" t="s">
        <v>7</v>
      </c>
    </row>
    <row r="8" spans="1:3" x14ac:dyDescent="0.35">
      <c r="A8" s="3" t="s">
        <v>8</v>
      </c>
      <c r="B8" s="6">
        <v>0.21</v>
      </c>
      <c r="C8" s="2" t="s">
        <v>9</v>
      </c>
    </row>
    <row r="10" spans="1:3" x14ac:dyDescent="0.35">
      <c r="A10" s="3" t="s">
        <v>10</v>
      </c>
    </row>
    <row r="11" spans="1:3" x14ac:dyDescent="0.35">
      <c r="A11" s="7"/>
    </row>
    <row r="12" spans="1:3" x14ac:dyDescent="0.35">
      <c r="A12" s="8"/>
    </row>
    <row r="13" spans="1:3" x14ac:dyDescent="0.35">
      <c r="A13" s="9"/>
    </row>
    <row r="14" spans="1:3" x14ac:dyDescent="0.35">
      <c r="A14" s="10" t="s">
        <v>11</v>
      </c>
    </row>
    <row r="16" spans="1:3" x14ac:dyDescent="0.35">
      <c r="A16" s="3" t="s">
        <v>12</v>
      </c>
    </row>
    <row r="17" spans="1:1" x14ac:dyDescent="0.35">
      <c r="A17" s="8" t="s">
        <v>116</v>
      </c>
    </row>
    <row r="18" spans="1:1" x14ac:dyDescent="0.35">
      <c r="A18" s="8" t="s">
        <v>13</v>
      </c>
    </row>
    <row r="19" spans="1:1" x14ac:dyDescent="0.35">
      <c r="A19" s="8" t="s">
        <v>14</v>
      </c>
    </row>
    <row r="20" spans="1:1" x14ac:dyDescent="0.35">
      <c r="A20" s="8" t="s">
        <v>15</v>
      </c>
    </row>
    <row r="21" spans="1:1" x14ac:dyDescent="0.35">
      <c r="A21" s="8" t="s">
        <v>16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7"/>
  <sheetViews>
    <sheetView showGridLines="0" tabSelected="1" zoomScaleNormal="100" workbookViewId="0">
      <pane xSplit="2" ySplit="4" topLeftCell="C20" activePane="bottomRight" state="frozen"/>
      <selection pane="topRight" activeCell="C1" sqref="C1"/>
      <selection pane="bottomLeft" activeCell="A5" sqref="A5"/>
      <selection pane="bottomRight" activeCell="I25" sqref="I25"/>
    </sheetView>
  </sheetViews>
  <sheetFormatPr baseColWidth="10" defaultColWidth="8.6328125" defaultRowHeight="14.5" x14ac:dyDescent="0.35"/>
  <cols>
    <col min="1" max="1" width="22" customWidth="1"/>
    <col min="2" max="2" width="30" customWidth="1"/>
    <col min="3" max="3" width="28" customWidth="1"/>
    <col min="4" max="7" width="12" customWidth="1"/>
    <col min="8" max="9" width="14" customWidth="1"/>
    <col min="10" max="10" width="12" customWidth="1"/>
    <col min="11" max="12" width="14" customWidth="1"/>
    <col min="13" max="16" width="16" customWidth="1"/>
    <col min="17" max="18" width="13" customWidth="1"/>
    <col min="19" max="19" width="14" customWidth="1"/>
    <col min="20" max="20" width="70" customWidth="1"/>
    <col min="21" max="21" width="34" customWidth="1"/>
  </cols>
  <sheetData>
    <row r="1" spans="1:21" ht="18" x14ac:dyDescent="0.4">
      <c r="A1" s="1" t="s">
        <v>17</v>
      </c>
    </row>
    <row r="2" spans="1:21" x14ac:dyDescent="0.35">
      <c r="A2" s="2" t="str">
        <f>"Escenario: "&amp;Supuestos!B4&amp;" usuarios, "&amp;Supuestos!B5&amp;" años. Valores de lista en USD; ver advertencias en Supuestos."</f>
        <v>Escenario: 140 usuarios, 5 años. Valores de lista en USD; ver advertencias en Supuestos.</v>
      </c>
    </row>
    <row r="4" spans="1:21" ht="18.5" customHeight="1" x14ac:dyDescent="0.35">
      <c r="A4" s="11" t="s">
        <v>18</v>
      </c>
      <c r="B4" s="11" t="s">
        <v>19</v>
      </c>
      <c r="C4" s="11" t="s">
        <v>20</v>
      </c>
      <c r="D4" s="11" t="s">
        <v>21</v>
      </c>
      <c r="E4" s="11" t="s">
        <v>22</v>
      </c>
      <c r="F4" s="11" t="s">
        <v>23</v>
      </c>
      <c r="G4" s="11" t="s">
        <v>24</v>
      </c>
      <c r="H4" s="11" t="s">
        <v>25</v>
      </c>
      <c r="I4" s="11" t="s">
        <v>26</v>
      </c>
      <c r="J4" s="11" t="s">
        <v>27</v>
      </c>
      <c r="K4" s="11" t="s">
        <v>28</v>
      </c>
      <c r="L4" s="11" t="s">
        <v>29</v>
      </c>
      <c r="M4" s="11" t="s">
        <v>30</v>
      </c>
      <c r="N4" s="11" t="s">
        <v>31</v>
      </c>
      <c r="O4" s="11" t="s">
        <v>32</v>
      </c>
      <c r="P4" s="11" t="s">
        <v>33</v>
      </c>
      <c r="Q4" s="11" t="s">
        <v>34</v>
      </c>
      <c r="R4" s="11" t="s">
        <v>35</v>
      </c>
      <c r="S4" s="11" t="s">
        <v>36</v>
      </c>
      <c r="T4" s="11" t="s">
        <v>37</v>
      </c>
      <c r="U4" s="11" t="s">
        <v>38</v>
      </c>
    </row>
    <row r="5" spans="1:21" ht="51.75" customHeight="1" x14ac:dyDescent="0.35">
      <c r="A5" s="12" t="s">
        <v>39</v>
      </c>
      <c r="B5" s="13" t="s">
        <v>40</v>
      </c>
      <c r="C5" s="13" t="s">
        <v>41</v>
      </c>
      <c r="D5" s="14">
        <v>24.9</v>
      </c>
      <c r="E5" s="14">
        <v>31.1</v>
      </c>
      <c r="F5" s="15"/>
      <c r="G5" s="15"/>
      <c r="H5" s="15"/>
      <c r="I5" s="15"/>
      <c r="J5" s="16"/>
      <c r="K5" s="15">
        <v>5000</v>
      </c>
      <c r="L5" s="15">
        <v>200000</v>
      </c>
      <c r="M5" s="17">
        <f>IF(N(H5)&gt;0,Supuestos!$B$4*H5*(1+N($J5)*Supuestos!$B$5),(Supuestos!$B$4*D5+N(F5))*12*Supuestos!$B$5)</f>
        <v>209160</v>
      </c>
      <c r="N5" s="17">
        <f>IF(N(I5)&gt;0,Supuestos!$B$4*I5*(1+N($J5)*Supuestos!$B$5),(Supuestos!$B$4*E5+N(G5))*12*Supuestos!$B$5)</f>
        <v>261240</v>
      </c>
      <c r="O5" s="17">
        <f t="shared" ref="O5:O14" si="0">M5+N(K5)</f>
        <v>214160</v>
      </c>
      <c r="P5" s="17">
        <f t="shared" ref="P5:P14" si="1">N5+N(L5)</f>
        <v>461240</v>
      </c>
      <c r="Q5" s="17">
        <f>O5/(Supuestos!$B$4*Supuestos!$B$5)</f>
        <v>305.94285714285712</v>
      </c>
      <c r="R5" s="17">
        <f>P5/(Supuestos!$B$4*Supuestos!$B$5)</f>
        <v>658.91428571428571</v>
      </c>
      <c r="S5" s="13" t="str">
        <f t="shared" ref="S5:S14" si="2">IF(AND(ISNUMBER(K5),ISNUMBER(L5)),"Sí","No (excluida)")</f>
        <v>Sí</v>
      </c>
      <c r="T5" s="18" t="s">
        <v>42</v>
      </c>
      <c r="U5" s="13" t="str">
        <f t="shared" ref="U5:U14" si="3">A5&amp;" - "&amp;B5</f>
        <v>Odoo - Standard (Online)</v>
      </c>
    </row>
    <row r="6" spans="1:21" ht="51.75" customHeight="1" x14ac:dyDescent="0.35">
      <c r="A6" s="12" t="s">
        <v>39</v>
      </c>
      <c r="B6" s="13" t="s">
        <v>43</v>
      </c>
      <c r="C6" s="13" t="s">
        <v>41</v>
      </c>
      <c r="D6" s="14">
        <v>49</v>
      </c>
      <c r="E6" s="14">
        <v>61</v>
      </c>
      <c r="F6" s="15"/>
      <c r="G6" s="15"/>
      <c r="H6" s="15"/>
      <c r="I6" s="15"/>
      <c r="J6" s="16"/>
      <c r="K6" s="15">
        <v>5000</v>
      </c>
      <c r="L6" s="15">
        <v>200000</v>
      </c>
      <c r="M6" s="17">
        <f>IF(N(H6)&gt;0,Supuestos!$B$4*H6*(1+N($J6)*Supuestos!$B$5),(Supuestos!$B$4*D6+N(F6))*12*Supuestos!$B$5)</f>
        <v>411600</v>
      </c>
      <c r="N6" s="17">
        <f>IF(N(I6)&gt;0,Supuestos!$B$4*I6*(1+N($J6)*Supuestos!$B$5),(Supuestos!$B$4*E6+N(G6))*12*Supuestos!$B$5)</f>
        <v>512400</v>
      </c>
      <c r="O6" s="17">
        <f t="shared" si="0"/>
        <v>416600</v>
      </c>
      <c r="P6" s="17">
        <f t="shared" si="1"/>
        <v>712400</v>
      </c>
      <c r="Q6" s="17">
        <f>O6/(Supuestos!$B$4*Supuestos!$B$5)</f>
        <v>595.14285714285711</v>
      </c>
      <c r="R6" s="17">
        <f>P6/(Supuestos!$B$4*Supuestos!$B$5)</f>
        <v>1017.7142857142857</v>
      </c>
      <c r="S6" s="13" t="str">
        <f t="shared" si="2"/>
        <v>Sí</v>
      </c>
      <c r="T6" s="18" t="s">
        <v>44</v>
      </c>
      <c r="U6" s="13" t="str">
        <f t="shared" si="3"/>
        <v>Odoo - Custom</v>
      </c>
    </row>
    <row r="7" spans="1:21" ht="51.75" customHeight="1" x14ac:dyDescent="0.35">
      <c r="A7" s="12" t="s">
        <v>45</v>
      </c>
      <c r="B7" s="13" t="s">
        <v>46</v>
      </c>
      <c r="C7" s="13" t="s">
        <v>47</v>
      </c>
      <c r="D7" s="14">
        <v>80</v>
      </c>
      <c r="E7" s="14">
        <v>80</v>
      </c>
      <c r="F7" s="15"/>
      <c r="G7" s="15"/>
      <c r="H7" s="15"/>
      <c r="I7" s="15"/>
      <c r="J7" s="16"/>
      <c r="K7" s="15"/>
      <c r="L7" s="15"/>
      <c r="M7" s="17">
        <f>IF(N(H7)&gt;0,Supuestos!$B$4*H7*(1+N($J7)*Supuestos!$B$5),(Supuestos!$B$4*D7+N(F7))*12*Supuestos!$B$5)</f>
        <v>672000</v>
      </c>
      <c r="N7" s="17">
        <f>IF(N(I7)&gt;0,Supuestos!$B$4*I7*(1+N($J7)*Supuestos!$B$5),(Supuestos!$B$4*E7+N(G7))*12*Supuestos!$B$5)</f>
        <v>672000</v>
      </c>
      <c r="O7" s="17">
        <f t="shared" si="0"/>
        <v>672000</v>
      </c>
      <c r="P7" s="17">
        <f t="shared" si="1"/>
        <v>672000</v>
      </c>
      <c r="Q7" s="17">
        <f>O7/(Supuestos!$B$4*Supuestos!$B$5)</f>
        <v>960</v>
      </c>
      <c r="R7" s="17">
        <f>P7/(Supuestos!$B$4*Supuestos!$B$5)</f>
        <v>960</v>
      </c>
      <c r="S7" s="13" t="str">
        <f t="shared" si="2"/>
        <v>No (excluida)</v>
      </c>
      <c r="T7" s="18" t="s">
        <v>48</v>
      </c>
      <c r="U7" s="13" t="str">
        <f t="shared" si="3"/>
        <v>Microsoft Dynamics 365 - Business Central Essentials</v>
      </c>
    </row>
    <row r="8" spans="1:21" ht="51.75" customHeight="1" x14ac:dyDescent="0.35">
      <c r="A8" s="12" t="s">
        <v>45</v>
      </c>
      <c r="B8" s="13" t="s">
        <v>49</v>
      </c>
      <c r="C8" s="13" t="s">
        <v>47</v>
      </c>
      <c r="D8" s="14">
        <v>110</v>
      </c>
      <c r="E8" s="14">
        <v>110</v>
      </c>
      <c r="F8" s="15"/>
      <c r="G8" s="15"/>
      <c r="H8" s="15"/>
      <c r="I8" s="15"/>
      <c r="J8" s="16"/>
      <c r="K8" s="15"/>
      <c r="L8" s="15"/>
      <c r="M8" s="17">
        <f>IF(N(H8)&gt;0,Supuestos!$B$4*H8*(1+N($J8)*Supuestos!$B$5),(Supuestos!$B$4*D8+N(F8))*12*Supuestos!$B$5)</f>
        <v>924000</v>
      </c>
      <c r="N8" s="17">
        <f>IF(N(I8)&gt;0,Supuestos!$B$4*I8*(1+N($J8)*Supuestos!$B$5),(Supuestos!$B$4*E8+N(G8))*12*Supuestos!$B$5)</f>
        <v>924000</v>
      </c>
      <c r="O8" s="17">
        <f t="shared" si="0"/>
        <v>924000</v>
      </c>
      <c r="P8" s="17">
        <f t="shared" si="1"/>
        <v>924000</v>
      </c>
      <c r="Q8" s="17">
        <f>O8/(Supuestos!$B$4*Supuestos!$B$5)</f>
        <v>1320</v>
      </c>
      <c r="R8" s="17">
        <f>P8/(Supuestos!$B$4*Supuestos!$B$5)</f>
        <v>1320</v>
      </c>
      <c r="S8" s="13" t="str">
        <f t="shared" si="2"/>
        <v>No (excluida)</v>
      </c>
      <c r="T8" s="18" t="s">
        <v>50</v>
      </c>
      <c r="U8" s="13" t="str">
        <f t="shared" si="3"/>
        <v>Microsoft Dynamics 365 - Business Central Premium</v>
      </c>
    </row>
    <row r="9" spans="1:21" ht="51.75" customHeight="1" x14ac:dyDescent="0.35">
      <c r="A9" s="12" t="s">
        <v>51</v>
      </c>
      <c r="B9" s="13" t="s">
        <v>52</v>
      </c>
      <c r="C9" s="13" t="s">
        <v>53</v>
      </c>
      <c r="D9" s="14">
        <v>99</v>
      </c>
      <c r="E9" s="14">
        <v>199</v>
      </c>
      <c r="F9" s="15">
        <v>999</v>
      </c>
      <c r="G9" s="15">
        <v>2500</v>
      </c>
      <c r="H9" s="15"/>
      <c r="I9" s="15"/>
      <c r="J9" s="16"/>
      <c r="K9" s="15">
        <v>25000</v>
      </c>
      <c r="L9" s="15">
        <v>750000</v>
      </c>
      <c r="M9" s="17">
        <f>IF(N(H9)&gt;0,Supuestos!$B$4*H9*(1+N($J9)*Supuestos!$B$5),(Supuestos!$B$4*D9+N(F9))*12*Supuestos!$B$5)</f>
        <v>891540</v>
      </c>
      <c r="N9" s="17">
        <f>IF(N(I9)&gt;0,Supuestos!$B$4*I9*(1+N($J9)*Supuestos!$B$5),(Supuestos!$B$4*E9+N(G9))*12*Supuestos!$B$5)</f>
        <v>1821600</v>
      </c>
      <c r="O9" s="17">
        <f t="shared" si="0"/>
        <v>916540</v>
      </c>
      <c r="P9" s="17">
        <f t="shared" si="1"/>
        <v>2571600</v>
      </c>
      <c r="Q9" s="17">
        <f>O9/(Supuestos!$B$4*Supuestos!$B$5)</f>
        <v>1309.3428571428572</v>
      </c>
      <c r="R9" s="17">
        <f>P9/(Supuestos!$B$4*Supuestos!$B$5)</f>
        <v>3673.7142857142858</v>
      </c>
      <c r="S9" s="13" t="str">
        <f t="shared" si="2"/>
        <v>Sí</v>
      </c>
      <c r="T9" s="18" t="s">
        <v>54</v>
      </c>
      <c r="U9" s="13" t="str">
        <f t="shared" si="3"/>
        <v>Oracle - NetSuite</v>
      </c>
    </row>
    <row r="10" spans="1:21" ht="51.75" customHeight="1" x14ac:dyDescent="0.35">
      <c r="A10" s="12" t="s">
        <v>55</v>
      </c>
      <c r="B10" s="13" t="s">
        <v>56</v>
      </c>
      <c r="C10" s="13" t="s">
        <v>57</v>
      </c>
      <c r="D10" s="14">
        <v>100</v>
      </c>
      <c r="E10" s="14">
        <v>200</v>
      </c>
      <c r="F10" s="15">
        <v>1500</v>
      </c>
      <c r="G10" s="15">
        <v>2500</v>
      </c>
      <c r="H10" s="15"/>
      <c r="I10" s="15"/>
      <c r="J10" s="16"/>
      <c r="K10" s="15">
        <v>50000</v>
      </c>
      <c r="L10" s="15">
        <v>1000000</v>
      </c>
      <c r="M10" s="17">
        <f>IF(N(H10)&gt;0,Supuestos!$B$4*H10*(1+N($J10)*Supuestos!$B$5),(Supuestos!$B$4*D10+N(F10))*12*Supuestos!$B$5)</f>
        <v>930000</v>
      </c>
      <c r="N10" s="17">
        <f>IF(N(I10)&gt;0,Supuestos!$B$4*I10*(1+N($J10)*Supuestos!$B$5),(Supuestos!$B$4*E10+N(G10))*12*Supuestos!$B$5)</f>
        <v>1830000</v>
      </c>
      <c r="O10" s="17">
        <f t="shared" si="0"/>
        <v>980000</v>
      </c>
      <c r="P10" s="17">
        <f t="shared" si="1"/>
        <v>2830000</v>
      </c>
      <c r="Q10" s="17">
        <f>O10/(Supuestos!$B$4*Supuestos!$B$5)</f>
        <v>1400</v>
      </c>
      <c r="R10" s="17">
        <f>P10/(Supuestos!$B$4*Supuestos!$B$5)</f>
        <v>4042.8571428571427</v>
      </c>
      <c r="S10" s="13" t="str">
        <f t="shared" si="2"/>
        <v>Sí</v>
      </c>
      <c r="T10" s="18" t="s">
        <v>58</v>
      </c>
      <c r="U10" s="13" t="str">
        <f t="shared" si="3"/>
        <v>Epicor - Kinetic (nube)</v>
      </c>
    </row>
    <row r="11" spans="1:21" ht="51.75" customHeight="1" x14ac:dyDescent="0.35">
      <c r="A11" s="12" t="s">
        <v>55</v>
      </c>
      <c r="B11" s="13" t="s">
        <v>59</v>
      </c>
      <c r="C11" s="13" t="s">
        <v>60</v>
      </c>
      <c r="D11" s="14"/>
      <c r="E11" s="14"/>
      <c r="F11" s="15"/>
      <c r="G11" s="15"/>
      <c r="H11" s="15">
        <v>2000</v>
      </c>
      <c r="I11" s="15">
        <v>3000</v>
      </c>
      <c r="J11" s="16">
        <v>0.2</v>
      </c>
      <c r="K11" s="15">
        <v>50000</v>
      </c>
      <c r="L11" s="15">
        <v>1000000</v>
      </c>
      <c r="M11" s="17">
        <f>IF(N(H11)&gt;0,Supuestos!$B$4*H11*(1+N($J11)*Supuestos!$B$5),(Supuestos!$B$4*D11+N(F11))*12*Supuestos!$B$5)</f>
        <v>560000</v>
      </c>
      <c r="N11" s="17">
        <f>IF(N(I11)&gt;0,Supuestos!$B$4*I11*(1+N($J11)*Supuestos!$B$5),(Supuestos!$B$4*E11+N(G11))*12*Supuestos!$B$5)</f>
        <v>840000</v>
      </c>
      <c r="O11" s="17">
        <f t="shared" si="0"/>
        <v>610000</v>
      </c>
      <c r="P11" s="17">
        <f t="shared" si="1"/>
        <v>1840000</v>
      </c>
      <c r="Q11" s="17">
        <f>O11/(Supuestos!$B$4*Supuestos!$B$5)</f>
        <v>871.42857142857144</v>
      </c>
      <c r="R11" s="17">
        <f>P11/(Supuestos!$B$4*Supuestos!$B$5)</f>
        <v>2628.5714285714284</v>
      </c>
      <c r="S11" s="13" t="str">
        <f t="shared" si="2"/>
        <v>Sí</v>
      </c>
      <c r="T11" s="18" t="s">
        <v>61</v>
      </c>
      <c r="U11" s="13" t="str">
        <f t="shared" si="3"/>
        <v>Epicor - Kinetic (perpetua)</v>
      </c>
    </row>
    <row r="12" spans="1:21" ht="51.75" customHeight="1" x14ac:dyDescent="0.35">
      <c r="A12" s="12" t="s">
        <v>62</v>
      </c>
      <c r="B12" s="13" t="s">
        <v>63</v>
      </c>
      <c r="C12" s="13" t="s">
        <v>41</v>
      </c>
      <c r="D12" s="14">
        <v>108</v>
      </c>
      <c r="E12" s="14">
        <v>185</v>
      </c>
      <c r="F12" s="15"/>
      <c r="G12" s="15"/>
      <c r="H12" s="15"/>
      <c r="I12" s="15"/>
      <c r="J12" s="16"/>
      <c r="K12" s="15">
        <v>30000</v>
      </c>
      <c r="L12" s="15">
        <v>200000</v>
      </c>
      <c r="M12" s="17">
        <f>IF(N(H12)&gt;0,Supuestos!$B$4*H12*(1+N($J12)*Supuestos!$B$5),(Supuestos!$B$4*D12+N(F12))*12*Supuestos!$B$5)</f>
        <v>907200</v>
      </c>
      <c r="N12" s="17">
        <f>IF(N(I12)&gt;0,Supuestos!$B$4*I12*(1+N($J12)*Supuestos!$B$5),(Supuestos!$B$4*E12+N(G12))*12*Supuestos!$B$5)</f>
        <v>1554000</v>
      </c>
      <c r="O12" s="17">
        <f t="shared" si="0"/>
        <v>937200</v>
      </c>
      <c r="P12" s="17">
        <f t="shared" si="1"/>
        <v>1754000</v>
      </c>
      <c r="Q12" s="17">
        <f>O12/(Supuestos!$B$4*Supuestos!$B$5)</f>
        <v>1338.8571428571429</v>
      </c>
      <c r="R12" s="17">
        <f>P12/(Supuestos!$B$4*Supuestos!$B$5)</f>
        <v>2505.7142857142858</v>
      </c>
      <c r="S12" s="13" t="str">
        <f t="shared" si="2"/>
        <v>Sí</v>
      </c>
      <c r="T12" s="18" t="s">
        <v>64</v>
      </c>
      <c r="U12" s="13" t="str">
        <f t="shared" si="3"/>
        <v>SAP - Business One Profesional (nube)</v>
      </c>
    </row>
    <row r="13" spans="1:21" ht="51.75" customHeight="1" x14ac:dyDescent="0.35">
      <c r="A13" s="12" t="s">
        <v>62</v>
      </c>
      <c r="B13" s="13" t="s">
        <v>65</v>
      </c>
      <c r="C13" s="13" t="s">
        <v>60</v>
      </c>
      <c r="D13" s="14"/>
      <c r="E13" s="14"/>
      <c r="F13" s="15"/>
      <c r="G13" s="15"/>
      <c r="H13" s="15">
        <v>3200</v>
      </c>
      <c r="I13" s="15">
        <v>3600</v>
      </c>
      <c r="J13" s="16">
        <v>0.18</v>
      </c>
      <c r="K13" s="15">
        <v>30000</v>
      </c>
      <c r="L13" s="15">
        <v>200000</v>
      </c>
      <c r="M13" s="17">
        <f>IF(N(H13)&gt;0,Supuestos!$B$4*H13*(1+N($J13)*Supuestos!$B$5),(Supuestos!$B$4*D13+N(F13))*12*Supuestos!$B$5)</f>
        <v>851200</v>
      </c>
      <c r="N13" s="17">
        <f>IF(N(I13)&gt;0,Supuestos!$B$4*I13*(1+N($J13)*Supuestos!$B$5),(Supuestos!$B$4*E13+N(G13))*12*Supuestos!$B$5)</f>
        <v>957600</v>
      </c>
      <c r="O13" s="17">
        <f t="shared" si="0"/>
        <v>881200</v>
      </c>
      <c r="P13" s="17">
        <f t="shared" si="1"/>
        <v>1157600</v>
      </c>
      <c r="Q13" s="17">
        <f>O13/(Supuestos!$B$4*Supuestos!$B$5)</f>
        <v>1258.8571428571429</v>
      </c>
      <c r="R13" s="17">
        <f>P13/(Supuestos!$B$4*Supuestos!$B$5)</f>
        <v>1653.7142857142858</v>
      </c>
      <c r="S13" s="13" t="str">
        <f t="shared" si="2"/>
        <v>Sí</v>
      </c>
      <c r="T13" s="18" t="s">
        <v>66</v>
      </c>
      <c r="U13" s="13" t="str">
        <f t="shared" si="3"/>
        <v>SAP - Business One Profesional (perpetua)</v>
      </c>
    </row>
    <row r="14" spans="1:21" ht="51.75" customHeight="1" x14ac:dyDescent="0.35">
      <c r="A14" s="12" t="s">
        <v>67</v>
      </c>
      <c r="B14" s="13" t="s">
        <v>68</v>
      </c>
      <c r="C14" s="13" t="s">
        <v>69</v>
      </c>
      <c r="D14" s="19">
        <f>'Tango (ARS)'!E14</f>
        <v>60.8</v>
      </c>
      <c r="E14" s="19">
        <f>'Tango (ARS)'!E15</f>
        <v>121.83333333333334</v>
      </c>
      <c r="F14" s="15"/>
      <c r="G14" s="15"/>
      <c r="H14" s="15"/>
      <c r="I14" s="15"/>
      <c r="J14" s="16"/>
      <c r="K14" s="15"/>
      <c r="L14" s="15"/>
      <c r="M14" s="17">
        <f>IF(N(H14)&gt;0,Supuestos!$B$4*H14*(1+N($J14)*Supuestos!$B$5),(Supuestos!$B$4*D14+N(F14))*12*Supuestos!$B$5)</f>
        <v>510720</v>
      </c>
      <c r="N14" s="17">
        <f>IF(N(I14)&gt;0,Supuestos!$B$4*I14*(1+N($J14)*Supuestos!$B$5),(Supuestos!$B$4*E14+N(G14))*12*Supuestos!$B$5)</f>
        <v>1023400</v>
      </c>
      <c r="O14" s="17">
        <f t="shared" si="0"/>
        <v>510720</v>
      </c>
      <c r="P14" s="17">
        <f t="shared" si="1"/>
        <v>1023400</v>
      </c>
      <c r="Q14" s="17">
        <f>O14/(Supuestos!$B$4*Supuestos!$B$5)</f>
        <v>729.6</v>
      </c>
      <c r="R14" s="17">
        <f>P14/(Supuestos!$B$4*Supuestos!$B$5)</f>
        <v>1462</v>
      </c>
      <c r="S14" s="13" t="str">
        <f t="shared" si="2"/>
        <v>No (excluida)</v>
      </c>
      <c r="T14" s="18" t="s">
        <v>70</v>
      </c>
      <c r="U14" s="13" t="str">
        <f t="shared" si="3"/>
        <v>Tango (Axoft) - Tango Nube (ref. ARS)</v>
      </c>
    </row>
    <row r="16" spans="1:21" x14ac:dyDescent="0.35">
      <c r="A16" s="2" t="s">
        <v>71</v>
      </c>
    </row>
    <row r="17" spans="1:1" x14ac:dyDescent="0.35">
      <c r="A17" s="2" t="s">
        <v>72</v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9"/>
  <sheetViews>
    <sheetView showGridLines="0" zoomScaleNormal="100" workbookViewId="0">
      <selection activeCell="B10" sqref="B10"/>
    </sheetView>
  </sheetViews>
  <sheetFormatPr baseColWidth="10" defaultColWidth="8.6328125" defaultRowHeight="14.5" x14ac:dyDescent="0.35"/>
  <cols>
    <col min="1" max="1" width="46" customWidth="1"/>
    <col min="2" max="5" width="20" customWidth="1"/>
  </cols>
  <sheetData>
    <row r="1" spans="1:5" ht="18" x14ac:dyDescent="0.4">
      <c r="A1" s="1" t="s">
        <v>73</v>
      </c>
    </row>
    <row r="2" spans="1:5" x14ac:dyDescent="0.35">
      <c r="A2" s="2" t="s">
        <v>74</v>
      </c>
    </row>
    <row r="4" spans="1:5" ht="26.5" x14ac:dyDescent="0.35">
      <c r="A4" s="20" t="s">
        <v>75</v>
      </c>
      <c r="B4" s="20" t="s">
        <v>76</v>
      </c>
      <c r="C4" s="20" t="s">
        <v>77</v>
      </c>
      <c r="D4" s="20" t="s">
        <v>78</v>
      </c>
    </row>
    <row r="5" spans="1:5" x14ac:dyDescent="0.35">
      <c r="A5" s="13" t="s">
        <v>79</v>
      </c>
      <c r="B5" s="15">
        <v>731000</v>
      </c>
      <c r="C5" s="21">
        <v>2</v>
      </c>
      <c r="D5" s="17">
        <f>B5/C5</f>
        <v>365500</v>
      </c>
    </row>
    <row r="6" spans="1:5" x14ac:dyDescent="0.35">
      <c r="A6" s="13" t="s">
        <v>80</v>
      </c>
      <c r="B6" s="15">
        <v>912000</v>
      </c>
      <c r="C6" s="21">
        <v>5</v>
      </c>
      <c r="D6" s="17">
        <f>B6/C6</f>
        <v>182400</v>
      </c>
    </row>
    <row r="8" spans="1:5" x14ac:dyDescent="0.35">
      <c r="A8" s="3" t="s">
        <v>81</v>
      </c>
      <c r="B8" s="22">
        <f>Supuestos!$B$4</f>
        <v>140</v>
      </c>
    </row>
    <row r="9" spans="1:5" x14ac:dyDescent="0.35">
      <c r="A9" s="3" t="s">
        <v>82</v>
      </c>
      <c r="B9" s="23">
        <f>Supuestos!$B$7</f>
        <v>0.5</v>
      </c>
    </row>
    <row r="10" spans="1:5" x14ac:dyDescent="0.35">
      <c r="A10" s="3" t="s">
        <v>83</v>
      </c>
      <c r="B10" s="8">
        <f>ROUNDUP(B8*B9,0)</f>
        <v>70</v>
      </c>
    </row>
    <row r="11" spans="1:5" x14ac:dyDescent="0.35">
      <c r="A11" s="3" t="s">
        <v>5</v>
      </c>
      <c r="B11" s="24">
        <f>Supuestos!$B$6</f>
        <v>1500</v>
      </c>
    </row>
    <row r="13" spans="1:5" x14ac:dyDescent="0.35">
      <c r="A13" s="20" t="s">
        <v>84</v>
      </c>
      <c r="B13" s="20" t="s">
        <v>85</v>
      </c>
      <c r="C13" s="20" t="s">
        <v>86</v>
      </c>
      <c r="D13" s="20" t="s">
        <v>87</v>
      </c>
      <c r="E13" s="20" t="s">
        <v>88</v>
      </c>
    </row>
    <row r="14" spans="1:5" x14ac:dyDescent="0.35">
      <c r="A14" s="13" t="s">
        <v>89</v>
      </c>
      <c r="B14" s="17">
        <f>$B$10*D6</f>
        <v>12768000</v>
      </c>
      <c r="C14" s="25">
        <f>B14*(1+Supuestos!$B$8)</f>
        <v>15449280</v>
      </c>
      <c r="D14" s="17">
        <f>B14/$B$11</f>
        <v>8512</v>
      </c>
      <c r="E14" s="26">
        <f>D14/$B$8</f>
        <v>60.8</v>
      </c>
    </row>
    <row r="15" spans="1:5" x14ac:dyDescent="0.35">
      <c r="A15" s="13" t="s">
        <v>90</v>
      </c>
      <c r="B15" s="17">
        <f>$B$10*D5</f>
        <v>25585000</v>
      </c>
      <c r="C15" s="25">
        <f>B15*(1+Supuestos!$B$8)</f>
        <v>30957850</v>
      </c>
      <c r="D15" s="17">
        <f>B15/$B$11</f>
        <v>17056.666666666668</v>
      </c>
      <c r="E15" s="26">
        <f>D15/$B$8</f>
        <v>121.83333333333334</v>
      </c>
    </row>
    <row r="17" spans="1:1" x14ac:dyDescent="0.35">
      <c r="A17" s="2"/>
    </row>
    <row r="18" spans="1:1" x14ac:dyDescent="0.35">
      <c r="A18" s="2" t="s">
        <v>91</v>
      </c>
    </row>
    <row r="19" spans="1:1" x14ac:dyDescent="0.35">
      <c r="A19" s="2" t="s">
        <v>92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8"/>
  <sheetViews>
    <sheetView showGridLines="0" zoomScaleNormal="100" workbookViewId="0">
      <selection activeCell="A5" sqref="A5"/>
    </sheetView>
  </sheetViews>
  <sheetFormatPr baseColWidth="10" defaultColWidth="8.6328125" defaultRowHeight="14.5" x14ac:dyDescent="0.35"/>
  <cols>
    <col min="1" max="1" width="28" customWidth="1"/>
    <col min="2" max="2" width="50" customWidth="1"/>
    <col min="3" max="3" width="60" customWidth="1"/>
    <col min="4" max="4" width="40" customWidth="1"/>
  </cols>
  <sheetData>
    <row r="1" spans="1:4" ht="18" x14ac:dyDescent="0.4">
      <c r="A1" s="1" t="s">
        <v>93</v>
      </c>
    </row>
    <row r="3" spans="1:4" x14ac:dyDescent="0.35">
      <c r="A3" s="27" t="s">
        <v>18</v>
      </c>
      <c r="B3" s="27" t="s">
        <v>94</v>
      </c>
      <c r="C3" s="27" t="s">
        <v>95</v>
      </c>
      <c r="D3" s="27" t="s">
        <v>96</v>
      </c>
    </row>
    <row r="4" spans="1:4" ht="48" customHeight="1" x14ac:dyDescent="0.35">
      <c r="A4" s="28" t="s">
        <v>97</v>
      </c>
      <c r="B4" s="28" t="s">
        <v>98</v>
      </c>
      <c r="C4" s="28" t="s">
        <v>99</v>
      </c>
      <c r="D4" s="28" t="s">
        <v>100</v>
      </c>
    </row>
    <row r="5" spans="1:4" ht="48" customHeight="1" x14ac:dyDescent="0.35">
      <c r="A5" s="28" t="s">
        <v>101</v>
      </c>
      <c r="B5" s="28" t="s">
        <v>102</v>
      </c>
      <c r="C5" s="28" t="s">
        <v>103</v>
      </c>
      <c r="D5" s="28" t="s">
        <v>104</v>
      </c>
    </row>
    <row r="6" spans="1:4" ht="48" customHeight="1" x14ac:dyDescent="0.35">
      <c r="A6" s="28" t="s">
        <v>105</v>
      </c>
      <c r="B6" s="28" t="s">
        <v>106</v>
      </c>
      <c r="C6" s="28" t="s">
        <v>107</v>
      </c>
      <c r="D6" s="28" t="s">
        <v>108</v>
      </c>
    </row>
    <row r="7" spans="1:4" ht="48" customHeight="1" x14ac:dyDescent="0.35">
      <c r="A7" s="28" t="s">
        <v>109</v>
      </c>
      <c r="B7" s="28" t="s">
        <v>110</v>
      </c>
      <c r="C7" s="28" t="s">
        <v>111</v>
      </c>
      <c r="D7" s="28" t="s">
        <v>108</v>
      </c>
    </row>
    <row r="8" spans="1:4" ht="48" customHeight="1" x14ac:dyDescent="0.35">
      <c r="A8" s="28" t="s">
        <v>112</v>
      </c>
      <c r="B8" s="28" t="s">
        <v>113</v>
      </c>
      <c r="C8" s="28" t="s">
        <v>114</v>
      </c>
      <c r="D8" s="28" t="s">
        <v>115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Supuestos</vt:lpstr>
      <vt:lpstr>Comparativo</vt:lpstr>
      <vt:lpstr>Tango (ARS)</vt:lpstr>
      <vt:lpstr>Sin precio público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Anibal Mazza Fraquelli</cp:lastModifiedBy>
  <cp:revision>1</cp:revision>
  <dcterms:created xsi:type="dcterms:W3CDTF">2026-11-02T23:13:50Z</dcterms:created>
  <dcterms:modified xsi:type="dcterms:W3CDTF">2026-11-03T00:39:22Z</dcterms:modified>
  <dc:language>en-US</dc:language>
</cp:coreProperties>
</file>